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4352" windowHeight="9528" activeTab="0"/>
  </bookViews>
  <sheets>
    <sheet name="2013 Budget &amp; Actuals" sheetId="1" r:id="rId1"/>
    <sheet name="Team Assump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<sst xmlns="http://schemas.openxmlformats.org/spreadsheetml/2006/main" count="86" uniqueCount="86">
  <si>
    <t>Brambleton</t>
  </si>
  <si>
    <t>South Riding</t>
  </si>
  <si>
    <t>Landsdowne</t>
  </si>
  <si>
    <t>Potomac Station</t>
  </si>
  <si>
    <t>Broadlands</t>
  </si>
  <si>
    <t>Lovettsville</t>
  </si>
  <si>
    <t>Belmont CC</t>
  </si>
  <si>
    <t>Franklin Park</t>
  </si>
  <si>
    <t>Red Rock</t>
  </si>
  <si>
    <t>Rivercrest</t>
  </si>
  <si>
    <t>Potomac Crossing</t>
  </si>
  <si>
    <t>Courts &amp; Ridges</t>
  </si>
  <si>
    <t xml:space="preserve">Loudoun Valley </t>
  </si>
  <si>
    <t>Exeter</t>
  </si>
  <si>
    <t>Spring Lakes</t>
  </si>
  <si>
    <t>Stone Ridge</t>
  </si>
  <si>
    <t>Woodlea Manor</t>
  </si>
  <si>
    <t>Evergreen Meadows</t>
  </si>
  <si>
    <t>Kincaid Forest</t>
  </si>
  <si>
    <t>Lenah Run</t>
  </si>
  <si>
    <t>Greenway Farms</t>
  </si>
  <si>
    <t>Lifetime Fitness</t>
  </si>
  <si>
    <t>Ida Lee</t>
  </si>
  <si>
    <t>Tavistock</t>
  </si>
  <si>
    <t>Stoneleigh</t>
  </si>
  <si>
    <t>Loudoun Valley 2</t>
  </si>
  <si>
    <t>Expected Team  Count</t>
  </si>
  <si>
    <t>Swimmer Fees</t>
  </si>
  <si>
    <t>Insurance Fee</t>
  </si>
  <si>
    <t>Total</t>
  </si>
  <si>
    <t>Income</t>
  </si>
  <si>
    <t>Team Fees</t>
  </si>
  <si>
    <t>Insurance Fees ($4 per swimmer)</t>
  </si>
  <si>
    <t>Swimmer Fees ($2 per swimmer)</t>
  </si>
  <si>
    <t>Total Team Fees</t>
  </si>
  <si>
    <t>T-shirt Profit</t>
  </si>
  <si>
    <t>Advertising/Sponsors</t>
  </si>
  <si>
    <t>Total Income</t>
  </si>
  <si>
    <t>Expenses</t>
  </si>
  <si>
    <t>Annual League Fees ($900 per team)</t>
  </si>
  <si>
    <t>Awards</t>
  </si>
  <si>
    <t>Season Ribbons</t>
  </si>
  <si>
    <t>Leauge Record Awards</t>
  </si>
  <si>
    <t>Total Awards</t>
  </si>
  <si>
    <t>Other Expenses</t>
  </si>
  <si>
    <t>Insurance</t>
  </si>
  <si>
    <t>Supplies</t>
  </si>
  <si>
    <t>State Filings</t>
  </si>
  <si>
    <t>Scholorships</t>
  </si>
  <si>
    <t>Total Other Expenses</t>
  </si>
  <si>
    <t>Total Expenses</t>
  </si>
  <si>
    <t>Ending Cash Balance</t>
  </si>
  <si>
    <t>Other Income</t>
  </si>
  <si>
    <t>Beginning Cash</t>
  </si>
  <si>
    <t xml:space="preserve"> </t>
  </si>
  <si>
    <t>Unidentified Difference</t>
  </si>
  <si>
    <t>Cash Flow ( To Equity)</t>
  </si>
  <si>
    <t>Team Fees/Sponsorships Paid in Advance (Asset)</t>
  </si>
  <si>
    <t>Training/ Rental Expenses</t>
  </si>
  <si>
    <t>(a)</t>
  </si>
  <si>
    <t>Total Other Income</t>
  </si>
  <si>
    <t>Medals &amp; Ribbons YE Meets</t>
  </si>
  <si>
    <t>All Star Meet Expense</t>
  </si>
  <si>
    <t>Savings Account Establishment</t>
  </si>
  <si>
    <t>DQ Slips &amp; Relay Take-off slips</t>
  </si>
  <si>
    <t>Quickbooks Online</t>
  </si>
  <si>
    <r>
      <t>Printing</t>
    </r>
    <r>
      <rPr>
        <vertAlign val="superscript"/>
        <sz val="11"/>
        <color indexed="8"/>
        <rFont val="Calibri"/>
        <family val="2"/>
      </rPr>
      <t xml:space="preserve"> </t>
    </r>
  </si>
  <si>
    <t xml:space="preserve">2014 Expected   </t>
  </si>
  <si>
    <t>Expected FY2014</t>
  </si>
  <si>
    <t>2014 Act/Bdg Variance</t>
  </si>
  <si>
    <t>(b)</t>
  </si>
  <si>
    <t>Loans to Start Up Teams</t>
  </si>
  <si>
    <t>Start Up Loan Repay Installment</t>
  </si>
  <si>
    <t>Interest on Start Up Loans</t>
  </si>
  <si>
    <t>Office/General Admin Expense</t>
  </si>
  <si>
    <r>
      <t xml:space="preserve">2014 BUDGET </t>
    </r>
    <r>
      <rPr>
        <b/>
        <vertAlign val="superscript"/>
        <sz val="11"/>
        <color indexed="8"/>
        <rFont val="Calibri"/>
        <family val="2"/>
      </rPr>
      <t>(a)</t>
    </r>
  </si>
  <si>
    <t>Proposed 2015</t>
  </si>
  <si>
    <t>ODSL 2014 Budget &amp; Projected YE Results - 2015 Budget Proposal</t>
  </si>
  <si>
    <t>2014 Actuals as of 10/2/14</t>
  </si>
  <si>
    <t>Note:</t>
  </si>
  <si>
    <t>ODSL Savings Account Balance as of 10/02/2014 - $10,0325.32.  Expected balance as of 12/31/2014 - $14,035.00</t>
  </si>
  <si>
    <t>Approved 10/24/2013</t>
  </si>
  <si>
    <t xml:space="preserve">Other </t>
  </si>
  <si>
    <t>Legal &amp;Professional Fees</t>
  </si>
  <si>
    <r>
      <t>Miscellaneous Expenses</t>
    </r>
    <r>
      <rPr>
        <vertAlign val="superscript"/>
        <sz val="11"/>
        <color indexed="8"/>
        <rFont val="Calibri"/>
        <family val="2"/>
      </rPr>
      <t xml:space="preserve"> (b)</t>
    </r>
  </si>
  <si>
    <t>Officials shirts $803, ODSL t-shirt designs $400.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</si>
</sst>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6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 style="medium"/>
      <right style="medium"/>
      <top style="thin"/>
      <bottom style="double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3" fontId="0" fillId="0" borderId="0" xfId="42" applyFont="1" applyAlignment="1">
      <alignment/>
    </xf>
    <xf numFmtId="43" fontId="0" fillId="0" borderId="16" xfId="42" applyFont="1" applyBorder="1" applyAlignment="1">
      <alignment/>
    </xf>
    <xf numFmtId="164" fontId="0" fillId="0" borderId="16" xfId="42" applyNumberFormat="1" applyFont="1" applyBorder="1" applyAlignment="1">
      <alignment/>
    </xf>
    <xf numFmtId="164" fontId="0" fillId="0" borderId="17" xfId="42" applyNumberFormat="1" applyFont="1" applyBorder="1" applyAlignment="1">
      <alignment/>
    </xf>
    <xf numFmtId="164" fontId="0" fillId="33" borderId="0" xfId="42" applyNumberFormat="1" applyFont="1" applyFill="1" applyBorder="1" applyAlignment="1">
      <alignment/>
    </xf>
    <xf numFmtId="164" fontId="0" fillId="0" borderId="0" xfId="42" applyNumberFormat="1" applyFont="1" applyBorder="1" applyAlignment="1">
      <alignment/>
    </xf>
    <xf numFmtId="164" fontId="0" fillId="0" borderId="18" xfId="42" applyNumberFormat="1" applyFont="1" applyBorder="1" applyAlignment="1">
      <alignment/>
    </xf>
    <xf numFmtId="165" fontId="0" fillId="0" borderId="11" xfId="44" applyNumberFormat="1" applyFont="1" applyBorder="1" applyAlignment="1">
      <alignment/>
    </xf>
    <xf numFmtId="165" fontId="0" fillId="0" borderId="19" xfId="44" applyNumberFormat="1" applyFont="1" applyBorder="1" applyAlignment="1">
      <alignment/>
    </xf>
    <xf numFmtId="164" fontId="0" fillId="0" borderId="20" xfId="42" applyNumberFormat="1" applyFont="1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9" fillId="0" borderId="0" xfId="0" applyFont="1" applyAlignment="1">
      <alignment horizontal="center"/>
    </xf>
    <xf numFmtId="43" fontId="39" fillId="0" borderId="0" xfId="42" applyFont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25" xfId="42" applyFont="1" applyBorder="1" applyAlignment="1">
      <alignment/>
    </xf>
    <xf numFmtId="0" fontId="0" fillId="0" borderId="0" xfId="0" applyAlignment="1">
      <alignment/>
    </xf>
    <xf numFmtId="43" fontId="39" fillId="0" borderId="0" xfId="42" applyFont="1" applyBorder="1" applyAlignment="1">
      <alignment horizontal="center"/>
    </xf>
    <xf numFmtId="0" fontId="0" fillId="0" borderId="0" xfId="0" applyFill="1" applyAlignment="1">
      <alignment/>
    </xf>
    <xf numFmtId="43" fontId="39" fillId="34" borderId="26" xfId="42" applyFont="1" applyFill="1" applyBorder="1" applyAlignment="1">
      <alignment/>
    </xf>
    <xf numFmtId="44" fontId="0" fillId="0" borderId="26" xfId="44" applyFont="1" applyBorder="1" applyAlignment="1">
      <alignment/>
    </xf>
    <xf numFmtId="43" fontId="0" fillId="0" borderId="0" xfId="42" applyFont="1" applyBorder="1" applyAlignment="1">
      <alignment/>
    </xf>
    <xf numFmtId="0" fontId="39" fillId="0" borderId="12" xfId="42" applyNumberFormat="1" applyFont="1" applyBorder="1" applyAlignment="1">
      <alignment horizontal="center" wrapText="1"/>
    </xf>
    <xf numFmtId="43" fontId="0" fillId="0" borderId="17" xfId="42" applyFont="1" applyBorder="1" applyAlignment="1">
      <alignment/>
    </xf>
    <xf numFmtId="43" fontId="0" fillId="0" borderId="18" xfId="42" applyFont="1" applyBorder="1" applyAlignment="1">
      <alignment/>
    </xf>
    <xf numFmtId="43" fontId="0" fillId="0" borderId="13" xfId="42" applyFont="1" applyBorder="1" applyAlignment="1">
      <alignment/>
    </xf>
    <xf numFmtId="44" fontId="0" fillId="0" borderId="0" xfId="44" applyFont="1" applyBorder="1" applyAlignment="1">
      <alignment/>
    </xf>
    <xf numFmtId="44" fontId="39" fillId="0" borderId="0" xfId="44" applyFont="1" applyFill="1" applyBorder="1" applyAlignment="1">
      <alignment horizontal="center"/>
    </xf>
    <xf numFmtId="44" fontId="0" fillId="0" borderId="17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25" xfId="44" applyFont="1" applyBorder="1" applyAlignment="1">
      <alignment/>
    </xf>
    <xf numFmtId="0" fontId="39" fillId="0" borderId="26" xfId="0" applyFont="1" applyBorder="1" applyAlignment="1">
      <alignment horizontal="center" wrapText="1"/>
    </xf>
    <xf numFmtId="43" fontId="0" fillId="0" borderId="27" xfId="42" applyFont="1" applyBorder="1" applyAlignment="1">
      <alignment/>
    </xf>
    <xf numFmtId="43" fontId="0" fillId="0" borderId="28" xfId="42" applyFont="1" applyBorder="1" applyAlignment="1">
      <alignment/>
    </xf>
    <xf numFmtId="44" fontId="0" fillId="0" borderId="27" xfId="44" applyFont="1" applyBorder="1" applyAlignment="1">
      <alignment/>
    </xf>
    <xf numFmtId="43" fontId="0" fillId="0" borderId="29" xfId="42" applyFont="1" applyBorder="1" applyAlignment="1">
      <alignment/>
    </xf>
    <xf numFmtId="44" fontId="0" fillId="0" borderId="29" xfId="44" applyFont="1" applyBorder="1" applyAlignment="1">
      <alignment/>
    </xf>
    <xf numFmtId="0" fontId="39" fillId="0" borderId="0" xfId="0" applyFont="1" applyAlignment="1">
      <alignment/>
    </xf>
    <xf numFmtId="44" fontId="39" fillId="0" borderId="30" xfId="44" applyFont="1" applyBorder="1" applyAlignment="1">
      <alignment/>
    </xf>
    <xf numFmtId="44" fontId="39" fillId="0" borderId="31" xfId="44" applyFont="1" applyBorder="1" applyAlignment="1">
      <alignment/>
    </xf>
    <xf numFmtId="44" fontId="39" fillId="0" borderId="32" xfId="44" applyFont="1" applyBorder="1" applyAlignment="1">
      <alignment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0" borderId="0" xfId="0" applyFill="1" applyAlignment="1">
      <alignment/>
    </xf>
    <xf numFmtId="44" fontId="39" fillId="0" borderId="17" xfId="44" applyFont="1" applyFill="1" applyBorder="1" applyAlignment="1">
      <alignment horizontal="center"/>
    </xf>
    <xf numFmtId="44" fontId="39" fillId="0" borderId="20" xfId="44" applyFont="1" applyFill="1" applyBorder="1" applyAlignment="1">
      <alignment horizontal="center"/>
    </xf>
    <xf numFmtId="44" fontId="39" fillId="0" borderId="27" xfId="44" applyFont="1" applyFill="1" applyBorder="1" applyAlignment="1">
      <alignment/>
    </xf>
    <xf numFmtId="44" fontId="0" fillId="0" borderId="11" xfId="44" applyFont="1" applyFill="1" applyBorder="1" applyAlignment="1">
      <alignment/>
    </xf>
    <xf numFmtId="44" fontId="0" fillId="0" borderId="19" xfId="44" applyFont="1" applyFill="1" applyBorder="1" applyAlignment="1">
      <alignment/>
    </xf>
    <xf numFmtId="44" fontId="0" fillId="0" borderId="33" xfId="44" applyFont="1" applyFill="1" applyBorder="1" applyAlignment="1">
      <alignment/>
    </xf>
    <xf numFmtId="44" fontId="0" fillId="0" borderId="22" xfId="44" applyFont="1" applyFill="1" applyBorder="1" applyAlignment="1">
      <alignment/>
    </xf>
    <xf numFmtId="0" fontId="42" fillId="0" borderId="0" xfId="0" applyFont="1" applyAlignment="1">
      <alignment/>
    </xf>
    <xf numFmtId="44" fontId="0" fillId="0" borderId="34" xfId="0" applyNumberFormat="1" applyBorder="1" applyAlignment="1">
      <alignment/>
    </xf>
    <xf numFmtId="0" fontId="0" fillId="0" borderId="27" xfId="0" applyBorder="1" applyAlignment="1">
      <alignment/>
    </xf>
    <xf numFmtId="43" fontId="0" fillId="0" borderId="27" xfId="42" applyFont="1" applyFill="1" applyBorder="1" applyAlignment="1">
      <alignment/>
    </xf>
    <xf numFmtId="0" fontId="39" fillId="0" borderId="35" xfId="0" applyFont="1" applyBorder="1" applyAlignment="1">
      <alignment horizontal="center" wrapText="1"/>
    </xf>
    <xf numFmtId="43" fontId="0" fillId="0" borderId="28" xfId="42" applyFont="1" applyFill="1" applyBorder="1" applyAlignment="1">
      <alignment/>
    </xf>
    <xf numFmtId="0" fontId="0" fillId="0" borderId="34" xfId="0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43" fontId="0" fillId="0" borderId="27" xfId="0" applyNumberFormat="1" applyBorder="1" applyAlignment="1">
      <alignment/>
    </xf>
    <xf numFmtId="43" fontId="0" fillId="0" borderId="28" xfId="0" applyNumberFormat="1" applyBorder="1" applyAlignment="1">
      <alignment/>
    </xf>
    <xf numFmtId="44" fontId="39" fillId="0" borderId="36" xfId="44" applyFont="1" applyBorder="1" applyAlignment="1">
      <alignment/>
    </xf>
    <xf numFmtId="0" fontId="39" fillId="0" borderId="23" xfId="42" applyNumberFormat="1" applyFont="1" applyBorder="1" applyAlignment="1">
      <alignment horizontal="center" wrapText="1"/>
    </xf>
    <xf numFmtId="0" fontId="39" fillId="0" borderId="37" xfId="42" applyNumberFormat="1" applyFont="1" applyFill="1" applyBorder="1" applyAlignment="1">
      <alignment horizontal="center" wrapText="1"/>
    </xf>
    <xf numFmtId="43" fontId="0" fillId="0" borderId="20" xfId="42" applyFont="1" applyFill="1" applyBorder="1" applyAlignment="1">
      <alignment/>
    </xf>
    <xf numFmtId="43" fontId="0" fillId="0" borderId="38" xfId="42" applyFont="1" applyFill="1" applyBorder="1" applyAlignment="1">
      <alignment/>
    </xf>
    <xf numFmtId="43" fontId="0" fillId="0" borderId="39" xfId="42" applyFont="1" applyFill="1" applyBorder="1" applyAlignment="1">
      <alignment/>
    </xf>
    <xf numFmtId="44" fontId="39" fillId="0" borderId="40" xfId="44" applyFont="1" applyFill="1" applyBorder="1" applyAlignment="1">
      <alignment/>
    </xf>
    <xf numFmtId="44" fontId="0" fillId="0" borderId="20" xfId="44" applyFont="1" applyFill="1" applyBorder="1" applyAlignment="1">
      <alignment/>
    </xf>
    <xf numFmtId="44" fontId="0" fillId="0" borderId="39" xfId="44" applyFont="1" applyFill="1" applyBorder="1" applyAlignment="1">
      <alignment/>
    </xf>
    <xf numFmtId="0" fontId="0" fillId="0" borderId="28" xfId="0" applyBorder="1" applyAlignment="1">
      <alignment/>
    </xf>
    <xf numFmtId="0" fontId="39" fillId="2" borderId="26" xfId="0" applyFont="1" applyFill="1" applyBorder="1" applyAlignment="1">
      <alignment horizontal="center" wrapText="1"/>
    </xf>
    <xf numFmtId="44" fontId="0" fillId="2" borderId="34" xfId="0" applyNumberFormat="1" applyFill="1" applyBorder="1" applyAlignment="1">
      <alignment/>
    </xf>
    <xf numFmtId="0" fontId="0" fillId="2" borderId="27" xfId="0" applyFill="1" applyBorder="1" applyAlignment="1">
      <alignment/>
    </xf>
    <xf numFmtId="43" fontId="0" fillId="2" borderId="27" xfId="0" applyNumberFormat="1" applyFill="1" applyBorder="1" applyAlignment="1">
      <alignment/>
    </xf>
    <xf numFmtId="43" fontId="0" fillId="2" borderId="28" xfId="0" applyNumberFormat="1" applyFill="1" applyBorder="1" applyAlignment="1">
      <alignment/>
    </xf>
    <xf numFmtId="43" fontId="0" fillId="2" borderId="27" xfId="42" applyFont="1" applyFill="1" applyBorder="1" applyAlignment="1">
      <alignment/>
    </xf>
    <xf numFmtId="43" fontId="0" fillId="2" borderId="29" xfId="42" applyFont="1" applyFill="1" applyBorder="1" applyAlignment="1">
      <alignment/>
    </xf>
    <xf numFmtId="44" fontId="39" fillId="2" borderId="32" xfId="44" applyFont="1" applyFill="1" applyBorder="1" applyAlignment="1">
      <alignment/>
    </xf>
    <xf numFmtId="0" fontId="0" fillId="2" borderId="34" xfId="0" applyFill="1" applyBorder="1" applyAlignment="1">
      <alignment/>
    </xf>
    <xf numFmtId="44" fontId="0" fillId="2" borderId="29" xfId="44" applyFont="1" applyFill="1" applyBorder="1" applyAlignment="1">
      <alignment/>
    </xf>
    <xf numFmtId="44" fontId="0" fillId="2" borderId="27" xfId="44" applyFont="1" applyFill="1" applyBorder="1" applyAlignment="1">
      <alignment/>
    </xf>
    <xf numFmtId="44" fontId="0" fillId="2" borderId="22" xfId="44" applyFont="1" applyFill="1" applyBorder="1" applyAlignment="1">
      <alignment/>
    </xf>
    <xf numFmtId="43" fontId="9" fillId="0" borderId="27" xfId="42" applyFont="1" applyBorder="1" applyAlignment="1">
      <alignment/>
    </xf>
    <xf numFmtId="43" fontId="9" fillId="0" borderId="28" xfId="42" applyFont="1" applyBorder="1" applyAlignment="1">
      <alignment/>
    </xf>
    <xf numFmtId="43" fontId="9" fillId="0" borderId="27" xfId="42" applyFont="1" applyFill="1" applyBorder="1" applyAlignment="1">
      <alignment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PageLayoutView="0" workbookViewId="0" topLeftCell="A28">
      <selection activeCell="O58" sqref="O58"/>
    </sheetView>
  </sheetViews>
  <sheetFormatPr defaultColWidth="9.140625" defaultRowHeight="15"/>
  <cols>
    <col min="1" max="2" width="3.28125" style="0" customWidth="1"/>
    <col min="3" max="3" width="38.7109375" style="0" bestFit="1" customWidth="1"/>
    <col min="4" max="5" width="11.421875" style="13" bestFit="1" customWidth="1"/>
    <col min="6" max="7" width="11.421875" style="40" bestFit="1" customWidth="1"/>
    <col min="8" max="8" width="2.00390625" style="0" customWidth="1"/>
    <col min="9" max="9" width="11.421875" style="0" bestFit="1" customWidth="1"/>
    <col min="10" max="10" width="12.28125" style="0" bestFit="1" customWidth="1"/>
    <col min="11" max="11" width="10.7109375" style="0" bestFit="1" customWidth="1"/>
    <col min="12" max="12" width="11.57421875" style="0" bestFit="1" customWidth="1"/>
    <col min="13" max="13" width="12.421875" style="0" bestFit="1" customWidth="1"/>
    <col min="14" max="14" width="2.28125" style="0" customWidth="1"/>
    <col min="15" max="15" width="12.140625" style="0" bestFit="1" customWidth="1"/>
  </cols>
  <sheetData>
    <row r="1" spans="1:15" ht="21">
      <c r="A1" s="106" t="s">
        <v>77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7" ht="5.25" customHeight="1" thickBot="1">
      <c r="A2" s="29"/>
      <c r="B2" s="29"/>
      <c r="C2" s="29"/>
      <c r="D2" s="31" t="s">
        <v>54</v>
      </c>
      <c r="E2" s="30"/>
      <c r="F2" s="36"/>
      <c r="G2" s="36"/>
    </row>
    <row r="3" spans="4:15" s="1" customFormat="1" ht="30.75" thickBot="1">
      <c r="D3" s="41">
        <v>2010</v>
      </c>
      <c r="E3" s="82">
        <v>2011</v>
      </c>
      <c r="F3" s="83">
        <v>2012</v>
      </c>
      <c r="G3" s="83">
        <v>2013</v>
      </c>
      <c r="I3" s="50" t="s">
        <v>75</v>
      </c>
      <c r="J3" s="50" t="s">
        <v>78</v>
      </c>
      <c r="K3" s="74" t="s">
        <v>67</v>
      </c>
      <c r="L3" s="91" t="s">
        <v>68</v>
      </c>
      <c r="M3" s="50" t="s">
        <v>69</v>
      </c>
      <c r="O3" s="50" t="s">
        <v>76</v>
      </c>
    </row>
    <row r="4" spans="1:15" s="35" customFormat="1" ht="14.25">
      <c r="A4" s="62" t="s">
        <v>53</v>
      </c>
      <c r="B4" s="62"/>
      <c r="C4" s="62"/>
      <c r="D4" s="63">
        <f>14723.21</f>
        <v>14723.21</v>
      </c>
      <c r="E4" s="46">
        <f>+D50</f>
        <v>25705.439999999995</v>
      </c>
      <c r="F4" s="64">
        <f>+E50</f>
        <v>30807.059999999998</v>
      </c>
      <c r="G4" s="64">
        <f>+F50</f>
        <v>33115.8</v>
      </c>
      <c r="H4" s="62"/>
      <c r="I4" s="65">
        <f>+G50</f>
        <v>7453.980000000003</v>
      </c>
      <c r="J4" s="71">
        <f>+I4</f>
        <v>7453.980000000003</v>
      </c>
      <c r="K4" s="76"/>
      <c r="L4" s="92">
        <f>+J4</f>
        <v>7453.980000000003</v>
      </c>
      <c r="M4" s="71">
        <f>+L4-I4</f>
        <v>0</v>
      </c>
      <c r="O4" s="65">
        <f>+L50</f>
        <v>1369.4599999999991</v>
      </c>
    </row>
    <row r="5" spans="1:15" ht="14.25">
      <c r="A5" s="32" t="s">
        <v>30</v>
      </c>
      <c r="B5" s="32"/>
      <c r="D5" s="42"/>
      <c r="E5" s="40"/>
      <c r="F5" s="84"/>
      <c r="G5" s="84"/>
      <c r="I5" s="51"/>
      <c r="J5" s="72"/>
      <c r="K5" s="72"/>
      <c r="L5" s="93"/>
      <c r="M5" s="72"/>
      <c r="O5" s="51"/>
    </row>
    <row r="6" spans="1:15" ht="14.25">
      <c r="A6" s="32"/>
      <c r="B6" s="33" t="s">
        <v>31</v>
      </c>
      <c r="D6" s="42">
        <v>0</v>
      </c>
      <c r="E6" s="40"/>
      <c r="F6" s="84"/>
      <c r="G6" s="84"/>
      <c r="I6" s="51"/>
      <c r="J6" s="72"/>
      <c r="K6" s="72"/>
      <c r="L6" s="93"/>
      <c r="M6" s="72"/>
      <c r="O6" s="51"/>
    </row>
    <row r="7" spans="3:15" ht="14.25">
      <c r="C7" t="s">
        <v>39</v>
      </c>
      <c r="D7" s="42">
        <f>21600+900</f>
        <v>22500</v>
      </c>
      <c r="E7" s="40">
        <v>22500</v>
      </c>
      <c r="F7" s="84">
        <v>24300</v>
      </c>
      <c r="G7" s="84">
        <v>23400</v>
      </c>
      <c r="I7" s="51">
        <v>11700</v>
      </c>
      <c r="J7" s="51">
        <v>12600</v>
      </c>
      <c r="K7" s="51"/>
      <c r="L7" s="94">
        <f>+J7+K7</f>
        <v>12600</v>
      </c>
      <c r="M7" s="79">
        <f>+L7-I7</f>
        <v>900</v>
      </c>
      <c r="O7" s="51">
        <f>23400-450</f>
        <v>22950</v>
      </c>
    </row>
    <row r="8" spans="3:15" ht="14.25">
      <c r="C8" t="s">
        <v>32</v>
      </c>
      <c r="D8" s="42">
        <f>12356</f>
        <v>12356</v>
      </c>
      <c r="E8" s="40">
        <v>12064</v>
      </c>
      <c r="F8" s="84">
        <v>12136</v>
      </c>
      <c r="G8" s="84">
        <v>13204</v>
      </c>
      <c r="I8" s="51">
        <v>13500</v>
      </c>
      <c r="J8" s="73">
        <v>12428</v>
      </c>
      <c r="K8" s="51">
        <v>260</v>
      </c>
      <c r="L8" s="94">
        <f>+J8+K8</f>
        <v>12688</v>
      </c>
      <c r="M8" s="79">
        <f>+L8-I8</f>
        <v>-812</v>
      </c>
      <c r="O8" s="51">
        <f>12500-40</f>
        <v>12460</v>
      </c>
    </row>
    <row r="9" spans="3:15" ht="14.25">
      <c r="C9" t="s">
        <v>33</v>
      </c>
      <c r="D9" s="43">
        <f>6564</f>
        <v>6564</v>
      </c>
      <c r="E9" s="14">
        <v>7238</v>
      </c>
      <c r="F9" s="85">
        <v>7478</v>
      </c>
      <c r="G9" s="85">
        <v>7648</v>
      </c>
      <c r="I9" s="52">
        <v>7800</v>
      </c>
      <c r="J9" s="75">
        <v>7536</v>
      </c>
      <c r="K9" s="52">
        <f>130</f>
        <v>130</v>
      </c>
      <c r="L9" s="95">
        <f>+J9+K9</f>
        <v>7666</v>
      </c>
      <c r="M9" s="80">
        <f>+L9-I9</f>
        <v>-134</v>
      </c>
      <c r="O9" s="52">
        <f>7700-20</f>
        <v>7680</v>
      </c>
    </row>
    <row r="10" spans="2:15" ht="14.25">
      <c r="B10" t="s">
        <v>34</v>
      </c>
      <c r="D10" s="42">
        <f>SUM(D7:D9)</f>
        <v>41420</v>
      </c>
      <c r="E10" s="40">
        <f>SUM(E7:E9)</f>
        <v>41802</v>
      </c>
      <c r="F10" s="84">
        <f>SUM(F7:F9)</f>
        <v>43914</v>
      </c>
      <c r="G10" s="84">
        <f>SUM(G7:G9)</f>
        <v>44252</v>
      </c>
      <c r="I10" s="51">
        <f>SUM(I7:I9)</f>
        <v>33000</v>
      </c>
      <c r="J10" s="51">
        <f>SUM(J7:J9)</f>
        <v>32564</v>
      </c>
      <c r="K10" s="51">
        <f>SUM(K7:K9)</f>
        <v>390</v>
      </c>
      <c r="L10" s="96">
        <f>SUM(L7:L9)</f>
        <v>32954</v>
      </c>
      <c r="M10" s="79">
        <f>+L10-I10</f>
        <v>-46</v>
      </c>
      <c r="O10" s="51">
        <f>SUM(O7:O9)</f>
        <v>43090</v>
      </c>
    </row>
    <row r="11" spans="4:15" ht="4.5" customHeight="1">
      <c r="D11" s="42"/>
      <c r="E11" s="40"/>
      <c r="F11" s="84"/>
      <c r="G11" s="84"/>
      <c r="I11" s="51"/>
      <c r="J11" s="72"/>
      <c r="K11" s="51"/>
      <c r="L11" s="93"/>
      <c r="M11" s="72"/>
      <c r="O11" s="51"/>
    </row>
    <row r="12" spans="2:15" ht="14.25">
      <c r="B12" t="s">
        <v>52</v>
      </c>
      <c r="D12" s="42"/>
      <c r="E12" s="40"/>
      <c r="F12" s="84"/>
      <c r="G12" s="84"/>
      <c r="I12" s="51"/>
      <c r="J12" s="72"/>
      <c r="K12" s="51"/>
      <c r="L12" s="93"/>
      <c r="M12" s="72"/>
      <c r="O12" s="51"/>
    </row>
    <row r="13" spans="3:15" ht="14.25">
      <c r="C13" t="s">
        <v>35</v>
      </c>
      <c r="D13" s="42">
        <v>0</v>
      </c>
      <c r="E13" s="40">
        <f>4508-4379.99</f>
        <v>128.01000000000022</v>
      </c>
      <c r="F13" s="84">
        <v>990</v>
      </c>
      <c r="G13" s="84">
        <v>0</v>
      </c>
      <c r="I13" s="51">
        <v>0</v>
      </c>
      <c r="J13" s="73">
        <v>450</v>
      </c>
      <c r="K13" s="51"/>
      <c r="L13" s="94">
        <f>+J13+K13</f>
        <v>450</v>
      </c>
      <c r="M13" s="79">
        <f>+L13-I13</f>
        <v>450</v>
      </c>
      <c r="O13" s="51">
        <v>0</v>
      </c>
    </row>
    <row r="14" spans="3:15" ht="14.25">
      <c r="C14" t="s">
        <v>36</v>
      </c>
      <c r="D14" s="42">
        <v>2100</v>
      </c>
      <c r="E14" s="40">
        <v>2500</v>
      </c>
      <c r="F14" s="84">
        <v>2000</v>
      </c>
      <c r="G14" s="84">
        <v>2000</v>
      </c>
      <c r="I14" s="51">
        <v>2000</v>
      </c>
      <c r="J14" s="73">
        <v>3200</v>
      </c>
      <c r="K14" s="51">
        <v>0</v>
      </c>
      <c r="L14" s="94">
        <f>+J14+K14</f>
        <v>3200</v>
      </c>
      <c r="M14" s="79">
        <f>+L14-I14</f>
        <v>1200</v>
      </c>
      <c r="O14" s="51">
        <v>3000</v>
      </c>
    </row>
    <row r="15" spans="3:15" ht="14.25">
      <c r="C15" t="s">
        <v>72</v>
      </c>
      <c r="D15" s="42"/>
      <c r="E15" s="40"/>
      <c r="F15" s="84"/>
      <c r="G15" s="84"/>
      <c r="I15" s="51">
        <v>0</v>
      </c>
      <c r="J15" s="73">
        <v>0</v>
      </c>
      <c r="K15" s="51">
        <v>2000</v>
      </c>
      <c r="L15" s="94">
        <f>+J15+K15</f>
        <v>2000</v>
      </c>
      <c r="M15" s="79"/>
      <c r="O15" s="51">
        <v>4000</v>
      </c>
    </row>
    <row r="16" spans="3:15" ht="14.25">
      <c r="C16" t="s">
        <v>73</v>
      </c>
      <c r="D16" s="42"/>
      <c r="E16" s="40"/>
      <c r="F16" s="84"/>
      <c r="G16" s="84"/>
      <c r="I16" s="51">
        <v>0</v>
      </c>
      <c r="J16" s="73">
        <v>0</v>
      </c>
      <c r="K16" s="51">
        <v>148.7</v>
      </c>
      <c r="L16" s="94">
        <f>+J16+K16</f>
        <v>148.7</v>
      </c>
      <c r="M16" s="79"/>
      <c r="O16" s="51">
        <v>260</v>
      </c>
    </row>
    <row r="17" spans="3:15" ht="15.75">
      <c r="C17" t="s">
        <v>82</v>
      </c>
      <c r="D17" s="43">
        <f>90+1011+273</f>
        <v>1374</v>
      </c>
      <c r="E17" s="40">
        <v>279</v>
      </c>
      <c r="F17" s="84">
        <v>0</v>
      </c>
      <c r="G17" s="84">
        <v>0</v>
      </c>
      <c r="I17" s="51">
        <v>0</v>
      </c>
      <c r="J17" s="73">
        <v>510</v>
      </c>
      <c r="K17" s="51">
        <v>0</v>
      </c>
      <c r="L17" s="94">
        <f>+J17+K17</f>
        <v>510</v>
      </c>
      <c r="M17" s="79">
        <f>+L17-I17</f>
        <v>510</v>
      </c>
      <c r="O17" s="51">
        <v>0</v>
      </c>
    </row>
    <row r="18" spans="2:15" ht="14.25">
      <c r="B18" t="s">
        <v>60</v>
      </c>
      <c r="D18" s="44">
        <f>SUM(D13:D17)</f>
        <v>3474</v>
      </c>
      <c r="E18" s="34">
        <f>SUM(E13:E17)</f>
        <v>2907.01</v>
      </c>
      <c r="F18" s="86">
        <f>SUM(F13:F17)</f>
        <v>2990</v>
      </c>
      <c r="G18" s="86">
        <f>SUM(G13:G17)</f>
        <v>2000</v>
      </c>
      <c r="I18" s="54">
        <f>SUM(I13:I17)</f>
        <v>2000</v>
      </c>
      <c r="J18" s="54">
        <f>SUM(J13:J17)</f>
        <v>4160</v>
      </c>
      <c r="K18" s="54">
        <f>SUM(K13:K17)</f>
        <v>2148.7</v>
      </c>
      <c r="L18" s="97">
        <f>SUM(L13:L17)</f>
        <v>6308.7</v>
      </c>
      <c r="M18" s="54">
        <f>SUM(M13:M17)</f>
        <v>2160</v>
      </c>
      <c r="O18" s="54">
        <f>SUM(O13:O17)</f>
        <v>7260</v>
      </c>
    </row>
    <row r="19" spans="1:15" s="56" customFormat="1" ht="15" thickBot="1">
      <c r="A19" s="56" t="s">
        <v>37</v>
      </c>
      <c r="D19" s="57">
        <f>+D10+D13+D14+D17</f>
        <v>44894</v>
      </c>
      <c r="E19" s="58">
        <f>+E10+E13+E14+E17</f>
        <v>44709.01</v>
      </c>
      <c r="F19" s="87">
        <f>+F10+F13+F14+F17</f>
        <v>46904</v>
      </c>
      <c r="G19" s="87">
        <f>+G10+G13+G14+G17</f>
        <v>46252</v>
      </c>
      <c r="I19" s="59">
        <f>+I10+I13+I14+I17</f>
        <v>35000</v>
      </c>
      <c r="J19" s="59">
        <f>+J10+J13+J14+J17</f>
        <v>36724</v>
      </c>
      <c r="K19" s="59">
        <f>+K18+K10</f>
        <v>2538.7</v>
      </c>
      <c r="L19" s="98">
        <f>+L18+L10</f>
        <v>39262.7</v>
      </c>
      <c r="M19" s="81">
        <f>+M10+M13+M14+M17</f>
        <v>2114</v>
      </c>
      <c r="O19" s="59">
        <f>+O10+O13+O14+O17</f>
        <v>46090</v>
      </c>
    </row>
    <row r="20" spans="1:15" ht="15" thickTop="1">
      <c r="A20" s="32" t="s">
        <v>38</v>
      </c>
      <c r="B20" s="32"/>
      <c r="D20" s="42"/>
      <c r="E20" s="40"/>
      <c r="F20" s="84"/>
      <c r="G20" s="84"/>
      <c r="I20" s="51"/>
      <c r="J20" s="72"/>
      <c r="L20" s="99"/>
      <c r="M20" s="78"/>
      <c r="O20" s="51"/>
    </row>
    <row r="21" spans="2:15" ht="14.25">
      <c r="B21" t="s">
        <v>40</v>
      </c>
      <c r="D21" s="42"/>
      <c r="E21" s="40"/>
      <c r="F21" s="84"/>
      <c r="G21" s="84"/>
      <c r="I21" s="51"/>
      <c r="J21" s="72"/>
      <c r="L21" s="93"/>
      <c r="M21" s="72"/>
      <c r="O21" s="51"/>
    </row>
    <row r="22" spans="3:15" ht="14.25">
      <c r="C22" t="s">
        <v>41</v>
      </c>
      <c r="D22" s="47">
        <v>13874.87</v>
      </c>
      <c r="E22" s="45">
        <v>15984.94</v>
      </c>
      <c r="F22" s="88">
        <f>14295.67+195.83</f>
        <v>14491.5</v>
      </c>
      <c r="G22" s="88">
        <v>13266.93</v>
      </c>
      <c r="I22" s="53">
        <v>12500</v>
      </c>
      <c r="J22" s="103">
        <v>12453.73</v>
      </c>
      <c r="L22" s="94">
        <f>+J22</f>
        <v>12453.73</v>
      </c>
      <c r="M22" s="79">
        <f>+L22-I22</f>
        <v>-46.27000000000044</v>
      </c>
      <c r="O22" s="53">
        <v>10000</v>
      </c>
    </row>
    <row r="23" spans="3:15" ht="14.25">
      <c r="C23" t="s">
        <v>61</v>
      </c>
      <c r="D23" s="42">
        <v>5503.33</v>
      </c>
      <c r="E23" s="40">
        <v>7073.44</v>
      </c>
      <c r="F23" s="84">
        <f>7341.87+3604.98+228.24+15.62</f>
        <v>11190.710000000001</v>
      </c>
      <c r="G23" s="84">
        <v>8634.39</v>
      </c>
      <c r="I23" s="51">
        <v>8500</v>
      </c>
      <c r="J23" s="103">
        <v>7186.48</v>
      </c>
      <c r="L23" s="94">
        <f>+J23+K23</f>
        <v>7186.48</v>
      </c>
      <c r="M23" s="79">
        <f>+L23-I23</f>
        <v>-1313.5200000000004</v>
      </c>
      <c r="O23" s="51">
        <v>6000</v>
      </c>
    </row>
    <row r="24" spans="3:15" ht="14.25">
      <c r="C24" t="s">
        <v>42</v>
      </c>
      <c r="D24" s="43">
        <v>279</v>
      </c>
      <c r="E24" s="14">
        <v>0</v>
      </c>
      <c r="F24" s="85">
        <v>0</v>
      </c>
      <c r="G24" s="85">
        <v>0</v>
      </c>
      <c r="I24" s="52">
        <v>0</v>
      </c>
      <c r="J24" s="104"/>
      <c r="K24" s="90"/>
      <c r="L24" s="95">
        <f>+J24+K24</f>
        <v>0</v>
      </c>
      <c r="M24" s="80">
        <f>+L24-I24</f>
        <v>0</v>
      </c>
      <c r="O24" s="52">
        <v>0</v>
      </c>
    </row>
    <row r="25" spans="2:15" ht="14.25">
      <c r="B25" t="s">
        <v>43</v>
      </c>
      <c r="D25" s="42">
        <f>SUM(D22:D24)</f>
        <v>19657.2</v>
      </c>
      <c r="E25" s="40">
        <f>SUM(E22:E24)</f>
        <v>23058.38</v>
      </c>
      <c r="F25" s="84">
        <f>SUM(F22:F24)</f>
        <v>25682.21</v>
      </c>
      <c r="G25" s="84">
        <f>SUM(G22:G24)</f>
        <v>21901.32</v>
      </c>
      <c r="I25" s="51">
        <f>SUM(I22:I24)</f>
        <v>21000</v>
      </c>
      <c r="J25" s="103">
        <f>SUM(J22:J24)</f>
        <v>19640.21</v>
      </c>
      <c r="L25" s="96">
        <f>SUM(L22:L24)</f>
        <v>19640.21</v>
      </c>
      <c r="M25" s="79">
        <f>+L25-I25</f>
        <v>-1359.7900000000009</v>
      </c>
      <c r="O25" s="51">
        <f>SUM(O22:O24)</f>
        <v>16000</v>
      </c>
    </row>
    <row r="26" spans="4:15" ht="3.75" customHeight="1">
      <c r="D26" s="42"/>
      <c r="E26" s="40"/>
      <c r="F26" s="84"/>
      <c r="G26" s="84"/>
      <c r="I26" s="51"/>
      <c r="J26" s="103"/>
      <c r="L26" s="93"/>
      <c r="M26" s="72"/>
      <c r="O26" s="51"/>
    </row>
    <row r="27" spans="2:15" ht="14.25">
      <c r="B27" t="s">
        <v>71</v>
      </c>
      <c r="D27" s="42"/>
      <c r="E27" s="40"/>
      <c r="F27" s="84"/>
      <c r="G27" s="84"/>
      <c r="I27" s="51"/>
      <c r="J27" s="103">
        <v>10000</v>
      </c>
      <c r="L27" s="94">
        <f>+J27</f>
        <v>10000</v>
      </c>
      <c r="M27" s="79">
        <f>+L27-I27</f>
        <v>10000</v>
      </c>
      <c r="O27" s="51">
        <v>5000</v>
      </c>
    </row>
    <row r="28" spans="4:15" ht="3.75" customHeight="1">
      <c r="D28" s="42"/>
      <c r="E28" s="40"/>
      <c r="F28" s="84"/>
      <c r="G28" s="84"/>
      <c r="I28" s="51"/>
      <c r="J28" s="103"/>
      <c r="L28" s="93"/>
      <c r="M28" s="72"/>
      <c r="O28" s="51"/>
    </row>
    <row r="29" spans="2:15" ht="14.25">
      <c r="B29" t="s">
        <v>44</v>
      </c>
      <c r="D29" s="42"/>
      <c r="E29" s="40"/>
      <c r="F29" s="84"/>
      <c r="G29" s="84"/>
      <c r="I29" s="51"/>
      <c r="J29" s="103"/>
      <c r="L29" s="93"/>
      <c r="M29" s="72"/>
      <c r="O29" s="51"/>
    </row>
    <row r="30" spans="3:15" ht="14.25">
      <c r="C30" t="s">
        <v>45</v>
      </c>
      <c r="D30" s="42">
        <v>12278</v>
      </c>
      <c r="E30" s="40">
        <v>12615</v>
      </c>
      <c r="F30" s="84">
        <v>12846</v>
      </c>
      <c r="G30" s="84">
        <v>13236</v>
      </c>
      <c r="I30" s="51">
        <v>13250</v>
      </c>
      <c r="J30" s="105">
        <v>13508</v>
      </c>
      <c r="L30" s="94">
        <f>+J30+K30</f>
        <v>13508</v>
      </c>
      <c r="M30" s="79">
        <f aca="true" t="shared" si="0" ref="M30:M41">+L30-I30</f>
        <v>258</v>
      </c>
      <c r="O30" s="51">
        <v>13500</v>
      </c>
    </row>
    <row r="31" spans="3:15" ht="15.75">
      <c r="C31" t="s">
        <v>83</v>
      </c>
      <c r="D31" s="42">
        <v>50</v>
      </c>
      <c r="E31" s="40">
        <v>0</v>
      </c>
      <c r="F31" s="84">
        <v>0</v>
      </c>
      <c r="G31" s="84">
        <v>0</v>
      </c>
      <c r="I31" s="51">
        <v>0</v>
      </c>
      <c r="J31" s="103">
        <v>505</v>
      </c>
      <c r="L31" s="94">
        <f>+J31+K31</f>
        <v>505</v>
      </c>
      <c r="M31" s="79">
        <f t="shared" si="0"/>
        <v>505</v>
      </c>
      <c r="O31" s="51">
        <v>0</v>
      </c>
    </row>
    <row r="32" spans="3:15" ht="14.25">
      <c r="C32" t="s">
        <v>65</v>
      </c>
      <c r="D32" s="42">
        <v>0</v>
      </c>
      <c r="E32" s="40">
        <v>0</v>
      </c>
      <c r="F32" s="84">
        <f>151.45+77.7</f>
        <v>229.14999999999998</v>
      </c>
      <c r="G32" s="84">
        <f>220.15-77.7</f>
        <v>142.45</v>
      </c>
      <c r="I32" s="51">
        <v>150</v>
      </c>
      <c r="J32" s="103">
        <v>176.5</v>
      </c>
      <c r="L32" s="94">
        <f>+J32+K32</f>
        <v>176.5</v>
      </c>
      <c r="M32" s="79">
        <f t="shared" si="0"/>
        <v>26.5</v>
      </c>
      <c r="O32" s="51">
        <v>200</v>
      </c>
    </row>
    <row r="33" spans="3:15" ht="14.25">
      <c r="C33" t="s">
        <v>74</v>
      </c>
      <c r="D33" s="42">
        <v>99.5</v>
      </c>
      <c r="E33" s="40">
        <v>119.4</v>
      </c>
      <c r="F33" s="84">
        <v>115.58</v>
      </c>
      <c r="G33" s="84">
        <f>2728.26+35+59.95+310.34+35-52.48</f>
        <v>3116.07</v>
      </c>
      <c r="I33" s="51">
        <v>150</v>
      </c>
      <c r="J33" s="103">
        <f>91.44+48</f>
        <v>139.44</v>
      </c>
      <c r="K33" s="84">
        <v>0</v>
      </c>
      <c r="L33" s="94">
        <f>+J33+K33</f>
        <v>139.44</v>
      </c>
      <c r="M33" s="79">
        <f t="shared" si="0"/>
        <v>-10.560000000000002</v>
      </c>
      <c r="O33" s="51">
        <v>150</v>
      </c>
    </row>
    <row r="34" spans="3:15" ht="14.25">
      <c r="C34" t="s">
        <v>46</v>
      </c>
      <c r="D34" s="42">
        <v>48.28</v>
      </c>
      <c r="E34" s="40">
        <v>372.65</v>
      </c>
      <c r="F34" s="84">
        <v>0</v>
      </c>
      <c r="G34" s="84">
        <v>0</v>
      </c>
      <c r="I34" s="51">
        <v>0</v>
      </c>
      <c r="J34" s="103">
        <v>0</v>
      </c>
      <c r="K34" s="84">
        <v>0</v>
      </c>
      <c r="L34" s="94">
        <f>+J34+K34</f>
        <v>0</v>
      </c>
      <c r="M34" s="79">
        <f t="shared" si="0"/>
        <v>0</v>
      </c>
      <c r="O34" s="51">
        <v>0</v>
      </c>
    </row>
    <row r="35" spans="3:15" ht="14.25">
      <c r="C35" t="s">
        <v>64</v>
      </c>
      <c r="D35" s="42">
        <v>0</v>
      </c>
      <c r="E35" s="40">
        <v>0</v>
      </c>
      <c r="F35" s="84">
        <v>537.6</v>
      </c>
      <c r="G35" s="84">
        <v>983.83</v>
      </c>
      <c r="I35" s="51">
        <v>1000</v>
      </c>
      <c r="J35" s="105">
        <v>449.44</v>
      </c>
      <c r="L35" s="94">
        <f aca="true" t="shared" si="1" ref="L35:L41">+J35+K35</f>
        <v>449.44</v>
      </c>
      <c r="M35" s="79">
        <f t="shared" si="0"/>
        <v>-550.56</v>
      </c>
      <c r="O35" s="51">
        <v>700</v>
      </c>
    </row>
    <row r="36" spans="3:15" ht="15.75">
      <c r="C36" t="s">
        <v>66</v>
      </c>
      <c r="D36" s="42">
        <v>795.37</v>
      </c>
      <c r="E36" s="40">
        <v>0</v>
      </c>
      <c r="F36" s="84">
        <f>1119.84-537.6+52.48</f>
        <v>634.7199999999999</v>
      </c>
      <c r="G36" s="84">
        <v>0</v>
      </c>
      <c r="I36" s="51">
        <v>100</v>
      </c>
      <c r="J36" s="103"/>
      <c r="L36" s="94">
        <f t="shared" si="1"/>
        <v>0</v>
      </c>
      <c r="M36" s="79">
        <f t="shared" si="0"/>
        <v>-100</v>
      </c>
      <c r="O36" s="51">
        <v>100</v>
      </c>
    </row>
    <row r="37" spans="3:15" ht="14.25">
      <c r="C37" t="s">
        <v>47</v>
      </c>
      <c r="D37" s="42">
        <v>0</v>
      </c>
      <c r="E37" s="40">
        <v>0</v>
      </c>
      <c r="F37" s="84">
        <v>0</v>
      </c>
      <c r="G37" s="84">
        <v>0</v>
      </c>
      <c r="I37" s="51">
        <v>100</v>
      </c>
      <c r="J37" s="105"/>
      <c r="L37" s="94">
        <f t="shared" si="1"/>
        <v>0</v>
      </c>
      <c r="M37" s="79">
        <f t="shared" si="0"/>
        <v>-100</v>
      </c>
      <c r="O37" s="51">
        <v>100</v>
      </c>
    </row>
    <row r="38" spans="3:15" ht="14.25">
      <c r="C38" t="s">
        <v>48</v>
      </c>
      <c r="D38" s="42">
        <v>1000</v>
      </c>
      <c r="E38" s="40">
        <v>2000</v>
      </c>
      <c r="F38" s="84">
        <v>2000</v>
      </c>
      <c r="G38" s="84">
        <v>2000</v>
      </c>
      <c r="I38" s="51">
        <v>2000</v>
      </c>
      <c r="J38" s="105">
        <v>2000</v>
      </c>
      <c r="L38" s="94">
        <f t="shared" si="1"/>
        <v>2000</v>
      </c>
      <c r="M38" s="79">
        <f t="shared" si="0"/>
        <v>0</v>
      </c>
      <c r="O38" s="51">
        <v>2000</v>
      </c>
    </row>
    <row r="39" spans="3:15" ht="14.25">
      <c r="C39" t="s">
        <v>58</v>
      </c>
      <c r="D39" s="42">
        <v>408</v>
      </c>
      <c r="E39" s="40">
        <f>595+285</f>
        <v>880</v>
      </c>
      <c r="F39" s="84">
        <v>1050</v>
      </c>
      <c r="G39" s="84">
        <v>1865</v>
      </c>
      <c r="I39" s="51">
        <v>1500</v>
      </c>
      <c r="J39" s="105">
        <v>1943.5</v>
      </c>
      <c r="L39" s="94">
        <f t="shared" si="1"/>
        <v>1943.5</v>
      </c>
      <c r="M39" s="79">
        <f t="shared" si="0"/>
        <v>443.5</v>
      </c>
      <c r="O39" s="51">
        <v>2000</v>
      </c>
    </row>
    <row r="40" spans="3:15" ht="14.25">
      <c r="C40" t="s">
        <v>62</v>
      </c>
      <c r="D40" s="42">
        <v>0</v>
      </c>
      <c r="E40" s="40">
        <f>800+285+500</f>
        <v>1585</v>
      </c>
      <c r="F40" s="84">
        <v>0</v>
      </c>
      <c r="G40" s="84">
        <v>0</v>
      </c>
      <c r="I40" s="51">
        <v>1800</v>
      </c>
      <c r="J40" s="103">
        <f>320+797.12+500+63.42</f>
        <v>1680.54</v>
      </c>
      <c r="K40" s="13">
        <v>0</v>
      </c>
      <c r="L40" s="94">
        <f t="shared" si="1"/>
        <v>1680.54</v>
      </c>
      <c r="M40" s="79">
        <f t="shared" si="0"/>
        <v>-119.46000000000004</v>
      </c>
      <c r="O40" s="51">
        <v>1800</v>
      </c>
    </row>
    <row r="41" spans="3:15" ht="15.75">
      <c r="C41" t="s">
        <v>84</v>
      </c>
      <c r="D41" s="43">
        <v>1039.42</v>
      </c>
      <c r="E41" s="14">
        <v>0</v>
      </c>
      <c r="F41" s="85">
        <v>0</v>
      </c>
      <c r="G41" s="85">
        <v>8669.15</v>
      </c>
      <c r="I41" s="51">
        <v>2000</v>
      </c>
      <c r="J41" s="105">
        <f>803.48+400+0.01</f>
        <v>1203.49</v>
      </c>
      <c r="K41" s="51">
        <f>27.52+73.58</f>
        <v>101.1</v>
      </c>
      <c r="L41" s="95">
        <f t="shared" si="1"/>
        <v>1304.59</v>
      </c>
      <c r="M41" s="79">
        <f t="shared" si="0"/>
        <v>-695.4100000000001</v>
      </c>
      <c r="O41" s="51">
        <v>1500</v>
      </c>
    </row>
    <row r="42" spans="2:15" ht="14.25">
      <c r="B42" t="s">
        <v>49</v>
      </c>
      <c r="D42" s="48">
        <f>SUM(D30:D41)</f>
        <v>15718.570000000002</v>
      </c>
      <c r="E42" s="49">
        <f>SUM(E30:E41)</f>
        <v>17572.05</v>
      </c>
      <c r="F42" s="89">
        <f>SUM(F30:F41)</f>
        <v>17413.05</v>
      </c>
      <c r="G42" s="89">
        <f>SUM(G30:G41)</f>
        <v>30012.5</v>
      </c>
      <c r="I42" s="55">
        <f>SUM(I30:I41)</f>
        <v>22050</v>
      </c>
      <c r="J42" s="55">
        <f>SUM(J30:J41)</f>
        <v>21605.910000000003</v>
      </c>
      <c r="K42" s="48">
        <f>SUM(K30:K41)</f>
        <v>101.1</v>
      </c>
      <c r="L42" s="100">
        <f>SUM(L30:L41)</f>
        <v>21707.010000000002</v>
      </c>
      <c r="M42" s="100">
        <f>SUM(M30:M41)</f>
        <v>-342.99</v>
      </c>
      <c r="O42" s="100">
        <f>SUM(O30:O41)</f>
        <v>22050</v>
      </c>
    </row>
    <row r="43" spans="1:15" s="56" customFormat="1" ht="15" thickBot="1">
      <c r="A43" s="56" t="s">
        <v>50</v>
      </c>
      <c r="D43" s="57">
        <f>+D25+D42</f>
        <v>35375.770000000004</v>
      </c>
      <c r="E43" s="58">
        <f>+E25+E42</f>
        <v>40630.43</v>
      </c>
      <c r="F43" s="87">
        <f>+F25+F42</f>
        <v>43095.259999999995</v>
      </c>
      <c r="G43" s="87">
        <f>+G25+G42</f>
        <v>51913.82</v>
      </c>
      <c r="I43" s="59">
        <f>+I25+I42</f>
        <v>43050</v>
      </c>
      <c r="J43" s="98">
        <f>+J25+J27+J42</f>
        <v>51246.12</v>
      </c>
      <c r="K43" s="98">
        <f>+K25+K27+K42</f>
        <v>101.1</v>
      </c>
      <c r="L43" s="98">
        <f>+L25+L27+L42</f>
        <v>51347.22</v>
      </c>
      <c r="M43" s="98">
        <f>+M25+M27+M42</f>
        <v>8297.22</v>
      </c>
      <c r="O43" s="98">
        <f>+O25+O27+O42</f>
        <v>43050</v>
      </c>
    </row>
    <row r="44" spans="4:15" ht="9" customHeight="1" thickTop="1">
      <c r="D44" s="42"/>
      <c r="E44" s="40"/>
      <c r="F44" s="84"/>
      <c r="G44" s="84"/>
      <c r="I44" s="51"/>
      <c r="J44" s="72"/>
      <c r="K44" s="77"/>
      <c r="L44" s="93"/>
      <c r="M44" s="78"/>
      <c r="O44" s="51"/>
    </row>
    <row r="45" spans="1:15" ht="14.25">
      <c r="A45" t="s">
        <v>56</v>
      </c>
      <c r="D45" s="47">
        <f>+D19-D43</f>
        <v>9518.229999999996</v>
      </c>
      <c r="E45" s="45">
        <f>+E19-E43</f>
        <v>4078.5800000000017</v>
      </c>
      <c r="F45" s="88">
        <f>+F19-F43</f>
        <v>3808.7400000000052</v>
      </c>
      <c r="G45" s="88">
        <f>+G19-G43</f>
        <v>-5661.82</v>
      </c>
      <c r="I45" s="53">
        <f>+I19-I43</f>
        <v>-8050</v>
      </c>
      <c r="J45" s="53">
        <f>+J19-J43</f>
        <v>-14522.120000000003</v>
      </c>
      <c r="K45" s="47">
        <f>+K19-K43</f>
        <v>2437.6</v>
      </c>
      <c r="L45" s="101">
        <f>+L19-L43</f>
        <v>-12084.520000000004</v>
      </c>
      <c r="M45" s="53">
        <f>+M19-M43</f>
        <v>-6183.219999999999</v>
      </c>
      <c r="O45" s="53">
        <f>+O19-O43</f>
        <v>3040</v>
      </c>
    </row>
    <row r="46" spans="1:15" ht="14.25">
      <c r="A46" t="s">
        <v>57</v>
      </c>
      <c r="D46" s="42">
        <v>1500</v>
      </c>
      <c r="E46" s="40">
        <v>1000</v>
      </c>
      <c r="F46" s="84">
        <v>-1500</v>
      </c>
      <c r="G46" s="84">
        <v>0</v>
      </c>
      <c r="I46" s="51">
        <v>0</v>
      </c>
      <c r="J46" s="72"/>
      <c r="K46" s="77"/>
      <c r="L46" s="93"/>
      <c r="M46" s="72"/>
      <c r="O46" s="51">
        <v>0</v>
      </c>
    </row>
    <row r="47" spans="1:15" ht="14.25">
      <c r="A47" t="s">
        <v>55</v>
      </c>
      <c r="D47" s="42">
        <f>-36</f>
        <v>-36</v>
      </c>
      <c r="E47" s="40">
        <v>23.04</v>
      </c>
      <c r="F47" s="84">
        <v>0</v>
      </c>
      <c r="G47" s="84">
        <v>0</v>
      </c>
      <c r="I47" s="51"/>
      <c r="J47" s="72"/>
      <c r="K47" s="77"/>
      <c r="L47" s="93"/>
      <c r="M47" s="72"/>
      <c r="O47" s="51"/>
    </row>
    <row r="48" spans="1:15" ht="14.25">
      <c r="A48" t="s">
        <v>63</v>
      </c>
      <c r="D48" s="42"/>
      <c r="E48" s="40"/>
      <c r="F48" s="84"/>
      <c r="G48" s="84">
        <v>-20000</v>
      </c>
      <c r="I48" s="51">
        <v>0</v>
      </c>
      <c r="J48" s="51">
        <f>20000-10000</f>
        <v>10000</v>
      </c>
      <c r="K48" s="42">
        <v>-4000</v>
      </c>
      <c r="L48" s="94">
        <f>+J48+K48</f>
        <v>6000</v>
      </c>
      <c r="M48" s="51">
        <v>0</v>
      </c>
      <c r="O48" s="51">
        <v>-4000</v>
      </c>
    </row>
    <row r="49" spans="4:15" ht="4.5" customHeight="1">
      <c r="D49" s="42"/>
      <c r="E49" s="40"/>
      <c r="F49" s="84"/>
      <c r="G49" s="84"/>
      <c r="I49" s="51"/>
      <c r="J49" s="72"/>
      <c r="K49" s="77"/>
      <c r="L49" s="93"/>
      <c r="M49" s="72"/>
      <c r="O49" s="51"/>
    </row>
    <row r="50" spans="1:15" ht="15" thickBot="1">
      <c r="A50" t="s">
        <v>51</v>
      </c>
      <c r="D50" s="66">
        <f>+D4+D45+D46+D47</f>
        <v>25705.439999999995</v>
      </c>
      <c r="E50" s="67">
        <f>+E4+E45+E46+E47</f>
        <v>30807.059999999998</v>
      </c>
      <c r="F50" s="68">
        <f>+F4+F45+F46+F47</f>
        <v>33115.8</v>
      </c>
      <c r="G50" s="69">
        <f>+G4+G45+G47+G48+G46</f>
        <v>7453.980000000003</v>
      </c>
      <c r="H50" s="37"/>
      <c r="I50" s="69">
        <f>+I4+I45+I47+I48+I46</f>
        <v>-596.0199999999968</v>
      </c>
      <c r="J50" s="69">
        <f>+J4+J45+J47+J48+J46</f>
        <v>2931.8600000000006</v>
      </c>
      <c r="K50" s="66">
        <f>+K4+K45+K47+K48+K46</f>
        <v>-1562.4</v>
      </c>
      <c r="L50" s="102">
        <f>+L4+L45+L47+L48+L46</f>
        <v>1369.4599999999991</v>
      </c>
      <c r="M50" s="69">
        <f>+M4+M45+M47+M48+M46</f>
        <v>-6183.219999999999</v>
      </c>
      <c r="O50" s="69">
        <f>+O4+O45+O47+O48+O46</f>
        <v>409.4599999999991</v>
      </c>
    </row>
    <row r="52" spans="1:2" ht="15.75">
      <c r="A52" s="70" t="s">
        <v>59</v>
      </c>
      <c r="B52" t="s">
        <v>81</v>
      </c>
    </row>
    <row r="53" spans="1:2" ht="15.75">
      <c r="A53" s="70" t="s">
        <v>70</v>
      </c>
      <c r="B53" t="s">
        <v>85</v>
      </c>
    </row>
    <row r="54" ht="15.75">
      <c r="A54" s="70"/>
    </row>
    <row r="55" spans="1:3" ht="15.75">
      <c r="A55" s="70" t="s">
        <v>79</v>
      </c>
      <c r="C55" t="s">
        <v>80</v>
      </c>
    </row>
  </sheetData>
  <sheetProtection/>
  <mergeCells count="1">
    <mergeCell ref="A1:O1"/>
  </mergeCells>
  <printOptions/>
  <pageMargins left="0.2" right="0.25" top="0.25" bottom="0.25" header="0.3" footer="0.3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10.57421875" style="0" bestFit="1" customWidth="1"/>
    <col min="2" max="2" width="21.7109375" style="0" customWidth="1"/>
    <col min="3" max="3" width="9.140625" style="25" customWidth="1"/>
    <col min="4" max="4" width="10.57421875" style="0" bestFit="1" customWidth="1"/>
    <col min="5" max="6" width="11.57421875" style="0" bestFit="1" customWidth="1"/>
  </cols>
  <sheetData>
    <row r="1" spans="2:6" s="1" customFormat="1" ht="43.5" thickBot="1">
      <c r="B1" s="2"/>
      <c r="C1" s="23" t="s">
        <v>26</v>
      </c>
      <c r="D1" s="26" t="s">
        <v>27</v>
      </c>
      <c r="E1" s="27" t="s">
        <v>28</v>
      </c>
      <c r="F1" s="28" t="s">
        <v>29</v>
      </c>
    </row>
    <row r="2" spans="1:6" ht="14.25">
      <c r="A2">
        <v>1</v>
      </c>
      <c r="B2" s="4" t="s">
        <v>0</v>
      </c>
      <c r="C2" s="60">
        <v>275</v>
      </c>
      <c r="D2" s="16">
        <f>+C2*2</f>
        <v>550</v>
      </c>
      <c r="E2" s="17"/>
      <c r="F2" s="22">
        <f>+D2+E2</f>
        <v>550</v>
      </c>
    </row>
    <row r="3" spans="1:6" ht="14.25">
      <c r="A3">
        <f>+A2+1</f>
        <v>2</v>
      </c>
      <c r="B3" s="5" t="s">
        <v>1</v>
      </c>
      <c r="C3" s="60">
        <v>250</v>
      </c>
      <c r="D3" s="16">
        <f aca="true" t="shared" si="0" ref="D3:D27">+C3*2</f>
        <v>500</v>
      </c>
      <c r="E3" s="17"/>
      <c r="F3" s="22">
        <f aca="true" t="shared" si="1" ref="F3:F27">+D3+E3</f>
        <v>500</v>
      </c>
    </row>
    <row r="4" spans="1:6" ht="14.25">
      <c r="A4">
        <f aca="true" t="shared" si="2" ref="A4:A26">+A3+1</f>
        <v>3</v>
      </c>
      <c r="B4" s="5" t="s">
        <v>2</v>
      </c>
      <c r="C4" s="60">
        <v>200</v>
      </c>
      <c r="D4" s="16">
        <f t="shared" si="0"/>
        <v>400</v>
      </c>
      <c r="E4" s="18">
        <f>+C4*4</f>
        <v>800</v>
      </c>
      <c r="F4" s="22">
        <f t="shared" si="1"/>
        <v>1200</v>
      </c>
    </row>
    <row r="5" spans="1:6" ht="14.25">
      <c r="A5">
        <f t="shared" si="2"/>
        <v>4</v>
      </c>
      <c r="B5" s="5" t="s">
        <v>3</v>
      </c>
      <c r="C5" s="60">
        <v>215</v>
      </c>
      <c r="D5" s="16">
        <f t="shared" si="0"/>
        <v>430</v>
      </c>
      <c r="E5" s="18">
        <f aca="true" t="shared" si="3" ref="E5:E22">+C5*4</f>
        <v>860</v>
      </c>
      <c r="F5" s="22">
        <f t="shared" si="1"/>
        <v>1290</v>
      </c>
    </row>
    <row r="6" spans="1:6" ht="14.25">
      <c r="A6">
        <f t="shared" si="2"/>
        <v>5</v>
      </c>
      <c r="B6" s="5" t="s">
        <v>4</v>
      </c>
      <c r="C6" s="60">
        <v>205</v>
      </c>
      <c r="D6" s="16">
        <f t="shared" si="0"/>
        <v>410</v>
      </c>
      <c r="E6" s="18">
        <f t="shared" si="3"/>
        <v>820</v>
      </c>
      <c r="F6" s="22">
        <f t="shared" si="1"/>
        <v>1230</v>
      </c>
    </row>
    <row r="7" spans="1:6" ht="14.25">
      <c r="A7">
        <f t="shared" si="2"/>
        <v>6</v>
      </c>
      <c r="B7" s="5" t="s">
        <v>5</v>
      </c>
      <c r="C7" s="60">
        <v>180</v>
      </c>
      <c r="D7" s="16">
        <f t="shared" si="0"/>
        <v>360</v>
      </c>
      <c r="E7" s="18">
        <f t="shared" si="3"/>
        <v>720</v>
      </c>
      <c r="F7" s="22">
        <f t="shared" si="1"/>
        <v>1080</v>
      </c>
    </row>
    <row r="8" spans="1:6" ht="14.25">
      <c r="A8">
        <f t="shared" si="2"/>
        <v>7</v>
      </c>
      <c r="B8" s="5" t="s">
        <v>6</v>
      </c>
      <c r="C8" s="60">
        <v>180</v>
      </c>
      <c r="D8" s="16">
        <f t="shared" si="0"/>
        <v>360</v>
      </c>
      <c r="E8" s="18">
        <f t="shared" si="3"/>
        <v>720</v>
      </c>
      <c r="F8" s="22">
        <f t="shared" si="1"/>
        <v>1080</v>
      </c>
    </row>
    <row r="9" spans="1:6" ht="15" thickBot="1">
      <c r="A9">
        <f t="shared" si="2"/>
        <v>8</v>
      </c>
      <c r="B9" s="6" t="s">
        <v>7</v>
      </c>
      <c r="C9" s="60">
        <v>175</v>
      </c>
      <c r="D9" s="16">
        <f t="shared" si="0"/>
        <v>350</v>
      </c>
      <c r="E9" s="18">
        <f t="shared" si="3"/>
        <v>700</v>
      </c>
      <c r="F9" s="22">
        <f t="shared" si="1"/>
        <v>1050</v>
      </c>
    </row>
    <row r="10" spans="1:6" ht="14.25">
      <c r="A10">
        <f t="shared" si="2"/>
        <v>9</v>
      </c>
      <c r="B10" s="7" t="s">
        <v>8</v>
      </c>
      <c r="C10" s="60">
        <v>135</v>
      </c>
      <c r="D10" s="16">
        <f t="shared" si="0"/>
        <v>270</v>
      </c>
      <c r="E10" s="18">
        <f t="shared" si="3"/>
        <v>540</v>
      </c>
      <c r="F10" s="22">
        <f t="shared" si="1"/>
        <v>810</v>
      </c>
    </row>
    <row r="11" spans="1:6" ht="14.25">
      <c r="A11">
        <f t="shared" si="2"/>
        <v>10</v>
      </c>
      <c r="B11" s="5" t="s">
        <v>9</v>
      </c>
      <c r="C11" s="60">
        <v>110</v>
      </c>
      <c r="D11" s="16">
        <f t="shared" si="0"/>
        <v>220</v>
      </c>
      <c r="E11" s="18">
        <f t="shared" si="3"/>
        <v>440</v>
      </c>
      <c r="F11" s="22">
        <f t="shared" si="1"/>
        <v>660</v>
      </c>
    </row>
    <row r="12" spans="1:6" ht="14.25">
      <c r="A12">
        <f t="shared" si="2"/>
        <v>11</v>
      </c>
      <c r="B12" s="5" t="s">
        <v>10</v>
      </c>
      <c r="C12" s="60">
        <v>144</v>
      </c>
      <c r="D12" s="16">
        <f t="shared" si="0"/>
        <v>288</v>
      </c>
      <c r="E12" s="18">
        <f t="shared" si="3"/>
        <v>576</v>
      </c>
      <c r="F12" s="22">
        <f t="shared" si="1"/>
        <v>864</v>
      </c>
    </row>
    <row r="13" spans="1:6" ht="14.25">
      <c r="A13">
        <f t="shared" si="2"/>
        <v>12</v>
      </c>
      <c r="B13" s="5" t="s">
        <v>11</v>
      </c>
      <c r="C13" s="60">
        <v>139</v>
      </c>
      <c r="D13" s="16">
        <f t="shared" si="0"/>
        <v>278</v>
      </c>
      <c r="E13" s="18">
        <f t="shared" si="3"/>
        <v>556</v>
      </c>
      <c r="F13" s="22">
        <f t="shared" si="1"/>
        <v>834</v>
      </c>
    </row>
    <row r="14" spans="1:6" ht="14.25">
      <c r="A14">
        <f t="shared" si="2"/>
        <v>13</v>
      </c>
      <c r="B14" s="8" t="s">
        <v>12</v>
      </c>
      <c r="C14" s="60">
        <v>131</v>
      </c>
      <c r="D14" s="16">
        <f t="shared" si="0"/>
        <v>262</v>
      </c>
      <c r="E14" s="18">
        <f t="shared" si="3"/>
        <v>524</v>
      </c>
      <c r="F14" s="22">
        <f t="shared" si="1"/>
        <v>786</v>
      </c>
    </row>
    <row r="15" spans="1:6" ht="15" thickBot="1">
      <c r="A15">
        <f t="shared" si="2"/>
        <v>14</v>
      </c>
      <c r="B15" s="9" t="s">
        <v>13</v>
      </c>
      <c r="C15" s="60">
        <v>90</v>
      </c>
      <c r="D15" s="16">
        <f t="shared" si="0"/>
        <v>180</v>
      </c>
      <c r="E15" s="18">
        <f t="shared" si="3"/>
        <v>360</v>
      </c>
      <c r="F15" s="22">
        <f t="shared" si="1"/>
        <v>540</v>
      </c>
    </row>
    <row r="16" spans="1:6" ht="14.25">
      <c r="A16">
        <f t="shared" si="2"/>
        <v>15</v>
      </c>
      <c r="B16" s="10" t="s">
        <v>14</v>
      </c>
      <c r="C16" s="60">
        <v>150</v>
      </c>
      <c r="D16" s="16">
        <f t="shared" si="0"/>
        <v>300</v>
      </c>
      <c r="E16" s="18">
        <f t="shared" si="3"/>
        <v>600</v>
      </c>
      <c r="F16" s="22">
        <f t="shared" si="1"/>
        <v>900</v>
      </c>
    </row>
    <row r="17" spans="1:6" ht="14.25">
      <c r="A17">
        <f t="shared" si="2"/>
        <v>16</v>
      </c>
      <c r="B17" s="8" t="s">
        <v>15</v>
      </c>
      <c r="C17" s="60">
        <v>110</v>
      </c>
      <c r="D17" s="16">
        <f t="shared" si="0"/>
        <v>220</v>
      </c>
      <c r="E17" s="18">
        <f t="shared" si="3"/>
        <v>440</v>
      </c>
      <c r="F17" s="22">
        <f t="shared" si="1"/>
        <v>660</v>
      </c>
    </row>
    <row r="18" spans="1:6" ht="14.25">
      <c r="A18">
        <f t="shared" si="2"/>
        <v>17</v>
      </c>
      <c r="B18" s="5" t="s">
        <v>16</v>
      </c>
      <c r="C18" s="60">
        <v>90</v>
      </c>
      <c r="D18" s="16">
        <f t="shared" si="0"/>
        <v>180</v>
      </c>
      <c r="E18" s="18">
        <f t="shared" si="3"/>
        <v>360</v>
      </c>
      <c r="F18" s="22">
        <f t="shared" si="1"/>
        <v>540</v>
      </c>
    </row>
    <row r="19" spans="1:6" ht="14.25">
      <c r="A19">
        <f t="shared" si="2"/>
        <v>18</v>
      </c>
      <c r="B19" s="5" t="s">
        <v>17</v>
      </c>
      <c r="C19" s="60">
        <v>110</v>
      </c>
      <c r="D19" s="16">
        <f t="shared" si="0"/>
        <v>220</v>
      </c>
      <c r="E19" s="18">
        <f t="shared" si="3"/>
        <v>440</v>
      </c>
      <c r="F19" s="22">
        <f t="shared" si="1"/>
        <v>660</v>
      </c>
    </row>
    <row r="20" spans="1:6" ht="14.25">
      <c r="A20">
        <f t="shared" si="2"/>
        <v>19</v>
      </c>
      <c r="B20" s="5" t="s">
        <v>18</v>
      </c>
      <c r="C20" s="60">
        <v>110</v>
      </c>
      <c r="D20" s="16">
        <f t="shared" si="0"/>
        <v>220</v>
      </c>
      <c r="E20" s="18">
        <f t="shared" si="3"/>
        <v>440</v>
      </c>
      <c r="F20" s="22">
        <f t="shared" si="1"/>
        <v>660</v>
      </c>
    </row>
    <row r="21" spans="1:6" ht="15" thickBot="1">
      <c r="A21">
        <f t="shared" si="2"/>
        <v>20</v>
      </c>
      <c r="B21" s="6" t="s">
        <v>19</v>
      </c>
      <c r="C21" s="60">
        <v>110</v>
      </c>
      <c r="D21" s="16">
        <f t="shared" si="0"/>
        <v>220</v>
      </c>
      <c r="E21" s="18">
        <f t="shared" si="3"/>
        <v>440</v>
      </c>
      <c r="F21" s="22">
        <f t="shared" si="1"/>
        <v>660</v>
      </c>
    </row>
    <row r="22" spans="1:6" ht="14.25">
      <c r="A22">
        <f t="shared" si="2"/>
        <v>21</v>
      </c>
      <c r="B22" s="4" t="s">
        <v>20</v>
      </c>
      <c r="C22" s="60">
        <v>95</v>
      </c>
      <c r="D22" s="16">
        <f t="shared" si="0"/>
        <v>190</v>
      </c>
      <c r="E22" s="18">
        <f t="shared" si="3"/>
        <v>380</v>
      </c>
      <c r="F22" s="22">
        <f t="shared" si="1"/>
        <v>570</v>
      </c>
    </row>
    <row r="23" spans="1:6" ht="14.25">
      <c r="A23">
        <f t="shared" si="2"/>
        <v>22</v>
      </c>
      <c r="B23" s="5" t="s">
        <v>21</v>
      </c>
      <c r="C23" s="60">
        <v>100</v>
      </c>
      <c r="D23" s="16">
        <f t="shared" si="0"/>
        <v>200</v>
      </c>
      <c r="E23" s="17"/>
      <c r="F23" s="22">
        <f t="shared" si="1"/>
        <v>200</v>
      </c>
    </row>
    <row r="24" spans="1:6" ht="14.25">
      <c r="A24">
        <f t="shared" si="2"/>
        <v>23</v>
      </c>
      <c r="B24" s="8" t="s">
        <v>22</v>
      </c>
      <c r="C24" s="60">
        <v>80</v>
      </c>
      <c r="D24" s="16">
        <f t="shared" si="0"/>
        <v>160</v>
      </c>
      <c r="E24" s="17"/>
      <c r="F24" s="22">
        <f t="shared" si="1"/>
        <v>160</v>
      </c>
    </row>
    <row r="25" spans="1:6" ht="14.25">
      <c r="A25">
        <f t="shared" si="2"/>
        <v>24</v>
      </c>
      <c r="B25" s="5" t="s">
        <v>23</v>
      </c>
      <c r="C25" s="60">
        <v>70</v>
      </c>
      <c r="D25" s="16">
        <f t="shared" si="0"/>
        <v>140</v>
      </c>
      <c r="E25" s="18">
        <f>+C25*4</f>
        <v>280</v>
      </c>
      <c r="F25" s="22">
        <f t="shared" si="1"/>
        <v>420</v>
      </c>
    </row>
    <row r="26" spans="1:6" ht="14.25">
      <c r="A26">
        <f t="shared" si="2"/>
        <v>25</v>
      </c>
      <c r="B26" s="11" t="s">
        <v>24</v>
      </c>
      <c r="C26" s="60">
        <v>70</v>
      </c>
      <c r="D26" s="16">
        <f t="shared" si="0"/>
        <v>140</v>
      </c>
      <c r="E26" s="18">
        <f>+C26*4</f>
        <v>280</v>
      </c>
      <c r="F26" s="22">
        <f t="shared" si="1"/>
        <v>420</v>
      </c>
    </row>
    <row r="27" spans="1:6" ht="15" thickBot="1">
      <c r="A27">
        <f>+A26+1</f>
        <v>26</v>
      </c>
      <c r="B27" s="12" t="s">
        <v>25</v>
      </c>
      <c r="C27" s="61">
        <v>90</v>
      </c>
      <c r="D27" s="19">
        <f t="shared" si="0"/>
        <v>180</v>
      </c>
      <c r="E27" s="15">
        <f>+C27*4</f>
        <v>360</v>
      </c>
      <c r="F27" s="22">
        <f t="shared" si="1"/>
        <v>540</v>
      </c>
    </row>
    <row r="28" spans="1:6" ht="15" thickBot="1">
      <c r="A28" s="38">
        <f>26*900</f>
        <v>23400</v>
      </c>
      <c r="B28" s="3"/>
      <c r="C28" s="24">
        <f>SUM(C2:C27)</f>
        <v>3614</v>
      </c>
      <c r="D28" s="20">
        <f>SUM(D2:D27)</f>
        <v>7228</v>
      </c>
      <c r="E28" s="21">
        <f>SUM(E2:E27)</f>
        <v>11636</v>
      </c>
      <c r="F28" s="39">
        <f>+D28+E28</f>
        <v>18864</v>
      </c>
    </row>
    <row r="30" ht="14.25">
      <c r="C30" s="25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Oliver</dc:creator>
  <cp:keywords/>
  <dc:description/>
  <cp:lastModifiedBy>Lynn Oliver</cp:lastModifiedBy>
  <cp:lastPrinted>2014-10-02T15:19:51Z</cp:lastPrinted>
  <dcterms:created xsi:type="dcterms:W3CDTF">2012-09-04T17:32:31Z</dcterms:created>
  <dcterms:modified xsi:type="dcterms:W3CDTF">2014-10-07T15:47:44Z</dcterms:modified>
  <cp:category/>
  <cp:version/>
  <cp:contentType/>
  <cp:contentStatus/>
</cp:coreProperties>
</file>